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Mietberechnung" sheetId="6" r:id="rId1"/>
  </sheets>
  <calcPr calcId="125725"/>
</workbook>
</file>

<file path=xl/calcChain.xml><?xml version="1.0" encoding="utf-8"?>
<calcChain xmlns="http://schemas.openxmlformats.org/spreadsheetml/2006/main">
  <c r="L26" i="6"/>
  <c r="D26"/>
  <c r="C26"/>
  <c r="K25"/>
  <c r="L25" s="1"/>
  <c r="G25"/>
  <c r="M25" s="1"/>
  <c r="B23"/>
  <c r="C23" s="1"/>
  <c r="B21"/>
  <c r="C21" s="1"/>
  <c r="K19"/>
  <c r="L19" s="1"/>
  <c r="G19"/>
  <c r="B19"/>
  <c r="C19" s="1"/>
  <c r="K17"/>
  <c r="K18" s="1"/>
  <c r="G17"/>
  <c r="G18" s="1"/>
  <c r="B17"/>
  <c r="F34" s="1"/>
  <c r="M13"/>
  <c r="J13"/>
  <c r="F13"/>
  <c r="M12"/>
  <c r="J12"/>
  <c r="F12"/>
  <c r="M11"/>
  <c r="J11"/>
  <c r="F11"/>
  <c r="K7"/>
  <c r="K21" s="1"/>
  <c r="K4"/>
  <c r="K23" s="1"/>
  <c r="G4"/>
  <c r="G7" s="1"/>
  <c r="G21" s="1"/>
  <c r="H21" s="1"/>
  <c r="B36" l="1"/>
  <c r="C36"/>
  <c r="D36"/>
  <c r="M19"/>
  <c r="L21"/>
  <c r="M21"/>
  <c r="K24"/>
  <c r="K20"/>
  <c r="L18"/>
  <c r="L23"/>
  <c r="G24"/>
  <c r="H24" s="1"/>
  <c r="G20"/>
  <c r="H18"/>
  <c r="G34"/>
  <c r="H34"/>
  <c r="H17"/>
  <c r="B18"/>
  <c r="M18" s="1"/>
  <c r="H19"/>
  <c r="H25"/>
  <c r="J34"/>
  <c r="M17"/>
  <c r="G23"/>
  <c r="H23" s="1"/>
  <c r="D17"/>
  <c r="L17"/>
  <c r="D19"/>
  <c r="D21"/>
  <c r="D23"/>
  <c r="G26"/>
  <c r="B34"/>
  <c r="C17"/>
  <c r="G22" l="1"/>
  <c r="H20"/>
  <c r="H26"/>
  <c r="M26"/>
  <c r="K34"/>
  <c r="L34"/>
  <c r="C18"/>
  <c r="D18"/>
  <c r="A5"/>
  <c r="B24"/>
  <c r="B20"/>
  <c r="A6"/>
  <c r="A4"/>
  <c r="L24"/>
  <c r="C34"/>
  <c r="D34"/>
  <c r="K22"/>
  <c r="L20"/>
  <c r="M20"/>
  <c r="M23"/>
  <c r="G27" l="1"/>
  <c r="H22"/>
  <c r="K27"/>
  <c r="L22"/>
  <c r="C24"/>
  <c r="D24"/>
  <c r="C20"/>
  <c r="D20"/>
  <c r="B22"/>
  <c r="M22" s="1"/>
  <c r="M24"/>
  <c r="H27" l="1"/>
  <c r="C22"/>
  <c r="D22"/>
  <c r="B25"/>
  <c r="L27"/>
  <c r="B27" l="1"/>
  <c r="C25"/>
  <c r="D25"/>
  <c r="J35" l="1"/>
  <c r="B28"/>
  <c r="B29" s="1"/>
  <c r="J37"/>
  <c r="F35"/>
  <c r="K28"/>
  <c r="C27"/>
  <c r="C35" s="1"/>
  <c r="F37"/>
  <c r="B35"/>
  <c r="D35" s="1"/>
  <c r="D27"/>
  <c r="B37"/>
  <c r="G28"/>
  <c r="M27"/>
  <c r="G35" l="1"/>
  <c r="H35"/>
  <c r="K35"/>
  <c r="L35"/>
  <c r="L28"/>
  <c r="M28"/>
  <c r="K29"/>
  <c r="B33"/>
  <c r="C29"/>
  <c r="D29"/>
  <c r="C37"/>
  <c r="D37"/>
  <c r="C28"/>
  <c r="D28"/>
  <c r="H28"/>
  <c r="G29"/>
  <c r="H29" s="1"/>
  <c r="H37"/>
  <c r="G37"/>
  <c r="K37"/>
  <c r="L37"/>
  <c r="J33" l="1"/>
  <c r="L29"/>
  <c r="M29"/>
  <c r="C33"/>
  <c r="D33"/>
  <c r="F33"/>
  <c r="G33" l="1"/>
  <c r="H33"/>
  <c r="L33"/>
  <c r="K33"/>
</calcChain>
</file>

<file path=xl/sharedStrings.xml><?xml version="1.0" encoding="utf-8"?>
<sst xmlns="http://schemas.openxmlformats.org/spreadsheetml/2006/main" count="105" uniqueCount="75">
  <si>
    <t>Miete mit allen Nebenkosten ohne Energie</t>
  </si>
  <si>
    <t>Anzahl Plätze</t>
  </si>
  <si>
    <t>Wareneinsatz</t>
  </si>
  <si>
    <t>Deckungsbeitrag II</t>
  </si>
  <si>
    <t>Miete</t>
  </si>
  <si>
    <t>Energie</t>
  </si>
  <si>
    <t>Bruttoumsatz</t>
  </si>
  <si>
    <t>Nettoumsatz</t>
  </si>
  <si>
    <t>Rohertrag / Deckungsbeitrag I</t>
  </si>
  <si>
    <t>Personalkosten</t>
  </si>
  <si>
    <t>Deckungsbeitrag für Gemeinkosten</t>
  </si>
  <si>
    <t>Ertragssteuern</t>
  </si>
  <si>
    <t>Tägliche Arbeitsstunden des Unternehmers</t>
  </si>
  <si>
    <t>Gemeinkosten inkl. Abschreibungen</t>
  </si>
  <si>
    <t>Netto-Unternehmerlohn</t>
  </si>
  <si>
    <t>Bruttoumsatz pro Platz</t>
  </si>
  <si>
    <t>Gewinn/Verlust / Deckungsbeitrag III</t>
  </si>
  <si>
    <t>Unternehmerlohn und Gewinn/Verlust</t>
  </si>
  <si>
    <t>Gewinn/Verlust pro Platz</t>
  </si>
  <si>
    <t>Verkaufsmenge
pro Tag
Restaurant</t>
  </si>
  <si>
    <t>Öffnungstage
pro Monat</t>
  </si>
  <si>
    <t>Öffnungsstunden
pro Monat</t>
  </si>
  <si>
    <t>Personaleinsatzstunden pro Tag
inkl. Unternehmer</t>
  </si>
  <si>
    <t>Durchschnittlicher
Stundenlohn
inkl. 25% Arbeitgeberanteil</t>
  </si>
  <si>
    <t>Wareneinsatz
netto</t>
  </si>
  <si>
    <t>Vereinfachte Ergebnisrechnung (Betriebstage) Restaurant</t>
  </si>
  <si>
    <t>Rohertrag</t>
  </si>
  <si>
    <t>Zusatzpersonal</t>
  </si>
  <si>
    <t>Durchschnittlicher
Fahrerlohn
inkl. 25% Arbeitgeberanteil</t>
  </si>
  <si>
    <t>Lieferstunden
pro Tag</t>
  </si>
  <si>
    <t>Online-Shop-Kosten</t>
  </si>
  <si>
    <t>Marketing</t>
  </si>
  <si>
    <t>Bruttoumsatz
pro Auftrag</t>
  </si>
  <si>
    <t>Netto-Kosten
Online-Shop
pro Auftrag</t>
  </si>
  <si>
    <t>Verpackung</t>
  </si>
  <si>
    <t>Fahrzeug</t>
  </si>
  <si>
    <t>zusätzliche
Fahrerstunden
pro Tag</t>
  </si>
  <si>
    <t>Restaurant</t>
  </si>
  <si>
    <t>Lieferservice</t>
  </si>
  <si>
    <t>Zusatzertrag</t>
  </si>
  <si>
    <t>Monat</t>
  </si>
  <si>
    <t>Öffnungstag</t>
  </si>
  <si>
    <t>Betriebsstunde</t>
  </si>
  <si>
    <t>Ertragsteuern</t>
  </si>
  <si>
    <t>Gewinn/Verlust</t>
  </si>
  <si>
    <t>Plausibilitätskennzahlen Restaurant</t>
  </si>
  <si>
    <t>Anzahl Aufträge
pro Tag</t>
  </si>
  <si>
    <t>Verkaufspreis
inkl. 19% USt
Restaurant</t>
  </si>
  <si>
    <t>Kennzahlen Restaurant + Lieferservice</t>
  </si>
  <si>
    <t>Take-Away</t>
  </si>
  <si>
    <t>Kennzahlen Restaurant + Lieferservice + TakeAway</t>
  </si>
  <si>
    <t>Anzahl Verkäufe
pro Tag</t>
  </si>
  <si>
    <t>Bruttoumsatz
pro Verkauf</t>
  </si>
  <si>
    <t>zusätzliche
Arbeitsstunden
pro Tag</t>
  </si>
  <si>
    <t>Durchschnittlicher
Verkäuferlohn
inkl. 25%
Arbeitgeberanteil</t>
  </si>
  <si>
    <r>
      <t xml:space="preserve">Produkte
</t>
    </r>
    <r>
      <rPr>
        <sz val="8"/>
        <color theme="1"/>
        <rFont val="Calibri"/>
        <family val="2"/>
        <scheme val="minor"/>
      </rPr>
      <t>(für mehr Produkte: www.institut-gastro.de)</t>
    </r>
    <r>
      <rPr>
        <b/>
        <sz val="11"/>
        <color theme="1"/>
        <rFont val="Calibri"/>
        <family val="2"/>
        <scheme val="minor"/>
      </rPr>
      <t xml:space="preserve"> </t>
    </r>
  </si>
  <si>
    <t>Netto-Kosten
Vorbestell-Shop
pro Auftrag</t>
  </si>
  <si>
    <t>Vorbestell-Shop</t>
  </si>
  <si>
    <t>Verkaufsstunden
pro Tag</t>
  </si>
  <si>
    <r>
      <t xml:space="preserve">Soll-Miete für 1 T€ Betriebsgewinn
</t>
    </r>
    <r>
      <rPr>
        <sz val="8"/>
        <color theme="1"/>
        <rFont val="Calibri"/>
        <family val="2"/>
        <scheme val="minor"/>
      </rPr>
      <t>(gerundet; vor Ertragsteuern)</t>
    </r>
  </si>
  <si>
    <t>Zusatzgeschäft Take-Away</t>
  </si>
  <si>
    <t>Zusatzgeschäft Lieferservice</t>
  </si>
  <si>
    <t>Ergebnis Miethöhe:</t>
  </si>
  <si>
    <r>
      <t xml:space="preserve">Produktgruppen
</t>
    </r>
    <r>
      <rPr>
        <sz val="8"/>
        <color theme="1"/>
        <rFont val="Calibri"/>
        <family val="2"/>
        <scheme val="minor"/>
      </rPr>
      <t>(für mehr Produkte: www.institut-gastro.de)</t>
    </r>
    <r>
      <rPr>
        <b/>
        <sz val="11"/>
        <color theme="1"/>
        <rFont val="Calibri"/>
        <family val="2"/>
        <scheme val="minor"/>
      </rPr>
      <t xml:space="preserve"> </t>
    </r>
  </si>
  <si>
    <t>Produktgruppe 1</t>
  </si>
  <si>
    <t>Produktgruppe 2</t>
  </si>
  <si>
    <t>Produktgruppe 3</t>
  </si>
  <si>
    <t>Verkaufsmenge
pro Tag
Lieferservice</t>
  </si>
  <si>
    <t>Verkaufsmenge
pro Tag
Take-Away</t>
  </si>
  <si>
    <t>Verkaufspreis
inkl. 7% USt
Lieferservice</t>
  </si>
  <si>
    <t>Verkaufspreis
inkl. 7% USt
Take-Away</t>
  </si>
  <si>
    <t>Summen</t>
  </si>
  <si>
    <t>Ausfüllfelder</t>
  </si>
  <si>
    <t>Sonstiges</t>
  </si>
  <si>
    <t>Umsatz pro Platz bei 30/45/60 Minuten Verweildauer</t>
  </si>
</sst>
</file>

<file path=xl/styles.xml><?xml version="1.0" encoding="utf-8"?>
<styleSheet xmlns="http://schemas.openxmlformats.org/spreadsheetml/2006/main">
  <numFmts count="6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.000\ &quot;€&quot;;[Red]\-#,##0.000\ &quot;€&quot;"/>
    <numFmt numFmtId="166" formatCode="#,##0.00\ &quot;€&quot;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6FF"/>
      <name val="Calibri"/>
      <family val="2"/>
      <scheme val="minor"/>
    </font>
    <font>
      <b/>
      <sz val="12"/>
      <color rgb="FF0066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66FF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sz val="72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40" fontId="0" fillId="0" borderId="0" xfId="0" applyNumberFormat="1"/>
    <xf numFmtId="0" fontId="0" fillId="0" borderId="0" xfId="0" applyBorder="1" applyAlignment="1">
      <alignment horizontal="right"/>
    </xf>
    <xf numFmtId="44" fontId="3" fillId="0" borderId="0" xfId="1" applyFont="1" applyBorder="1"/>
    <xf numFmtId="0" fontId="0" fillId="0" borderId="0" xfId="0" applyBorder="1" applyAlignment="1">
      <alignment horizontal="center"/>
    </xf>
    <xf numFmtId="8" fontId="3" fillId="0" borderId="0" xfId="1" applyNumberFormat="1" applyFont="1" applyBorder="1" applyAlignment="1">
      <alignment horizontal="center"/>
    </xf>
    <xf numFmtId="0" fontId="0" fillId="0" borderId="9" xfId="0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8" fontId="0" fillId="0" borderId="9" xfId="0" applyNumberFormat="1" applyBorder="1" applyAlignment="1">
      <alignment horizontal="center"/>
    </xf>
    <xf numFmtId="6" fontId="0" fillId="0" borderId="9" xfId="0" applyNumberFormat="1" applyBorder="1" applyAlignment="1">
      <alignment horizontal="center"/>
    </xf>
    <xf numFmtId="6" fontId="2" fillId="0" borderId="9" xfId="0" applyNumberFormat="1" applyFont="1" applyBorder="1" applyAlignment="1">
      <alignment horizontal="center"/>
    </xf>
    <xf numFmtId="6" fontId="2" fillId="0" borderId="9" xfId="1" applyNumberFormat="1" applyFont="1" applyBorder="1" applyAlignment="1">
      <alignment horizontal="center"/>
    </xf>
    <xf numFmtId="6" fontId="2" fillId="0" borderId="10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8" fontId="0" fillId="0" borderId="0" xfId="0" applyNumberFormat="1" applyBorder="1" applyAlignment="1">
      <alignment horizontal="center"/>
    </xf>
    <xf numFmtId="8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8" fontId="2" fillId="0" borderId="0" xfId="1" applyNumberFormat="1" applyFont="1" applyBorder="1" applyAlignment="1">
      <alignment horizontal="center" vertical="center"/>
    </xf>
    <xf numFmtId="6" fontId="0" fillId="0" borderId="9" xfId="1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8" fillId="0" borderId="0" xfId="0" applyFont="1" applyAlignment="1">
      <alignment vertical="center"/>
    </xf>
    <xf numFmtId="0" fontId="0" fillId="0" borderId="9" xfId="0" applyFont="1" applyBorder="1" applyAlignment="1">
      <alignment horizontal="right"/>
    </xf>
    <xf numFmtId="6" fontId="0" fillId="0" borderId="19" xfId="0" applyNumberForma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6" fontId="2" fillId="0" borderId="10" xfId="1" applyNumberFormat="1" applyFont="1" applyBorder="1" applyAlignment="1">
      <alignment horizontal="center"/>
    </xf>
    <xf numFmtId="0" fontId="0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6" fontId="2" fillId="0" borderId="1" xfId="0" applyNumberFormat="1" applyFont="1" applyBorder="1" applyAlignment="1">
      <alignment horizontal="center" vertical="center"/>
    </xf>
    <xf numFmtId="6" fontId="2" fillId="0" borderId="1" xfId="1" applyNumberFormat="1" applyFont="1" applyBorder="1" applyAlignment="1">
      <alignment horizontal="center" vertical="center"/>
    </xf>
    <xf numFmtId="165" fontId="0" fillId="0" borderId="9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6" fontId="2" fillId="0" borderId="10" xfId="0" applyNumberFormat="1" applyFont="1" applyBorder="1" applyAlignment="1">
      <alignment horizontal="center" vertical="center"/>
    </xf>
    <xf numFmtId="6" fontId="0" fillId="0" borderId="10" xfId="0" applyNumberFormat="1" applyBorder="1" applyAlignment="1">
      <alignment horizontal="center" vertical="center"/>
    </xf>
    <xf numFmtId="6" fontId="0" fillId="0" borderId="20" xfId="0" applyNumberFormat="1" applyBorder="1" applyAlignment="1">
      <alignment horizontal="center" vertical="center"/>
    </xf>
    <xf numFmtId="0" fontId="5" fillId="0" borderId="9" xfId="0" applyFont="1" applyBorder="1" applyAlignment="1">
      <alignment horizontal="right"/>
    </xf>
    <xf numFmtId="6" fontId="5" fillId="0" borderId="9" xfId="1" applyNumberFormat="1" applyFont="1" applyBorder="1" applyAlignment="1">
      <alignment horizontal="center"/>
    </xf>
    <xf numFmtId="8" fontId="5" fillId="0" borderId="0" xfId="1" applyNumberFormat="1" applyFont="1" applyBorder="1" applyAlignment="1">
      <alignment horizontal="center"/>
    </xf>
    <xf numFmtId="6" fontId="5" fillId="0" borderId="9" xfId="0" applyNumberFormat="1" applyFont="1" applyBorder="1" applyAlignment="1">
      <alignment horizontal="center"/>
    </xf>
    <xf numFmtId="6" fontId="5" fillId="0" borderId="1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0" fillId="0" borderId="26" xfId="0" applyBorder="1"/>
    <xf numFmtId="0" fontId="3" fillId="0" borderId="27" xfId="0" applyFont="1" applyBorder="1" applyAlignment="1">
      <alignment horizontal="center"/>
    </xf>
    <xf numFmtId="8" fontId="3" fillId="0" borderId="26" xfId="1" applyNumberFormat="1" applyFont="1" applyBorder="1" applyAlignment="1">
      <alignment horizontal="center"/>
    </xf>
    <xf numFmtId="0" fontId="0" fillId="0" borderId="27" xfId="0" applyBorder="1"/>
    <xf numFmtId="164" fontId="0" fillId="0" borderId="0" xfId="0" applyNumberFormat="1" applyBorder="1"/>
    <xf numFmtId="40" fontId="0" fillId="0" borderId="0" xfId="0" applyNumberFormat="1" applyBorder="1"/>
    <xf numFmtId="0" fontId="0" fillId="0" borderId="0" xfId="0" applyBorder="1"/>
    <xf numFmtId="0" fontId="2" fillId="0" borderId="1" xfId="0" applyFont="1" applyBorder="1" applyAlignment="1">
      <alignment horizontal="right" vertical="center" wrapText="1"/>
    </xf>
    <xf numFmtId="6" fontId="2" fillId="0" borderId="0" xfId="0" applyNumberFormat="1" applyFont="1"/>
    <xf numFmtId="0" fontId="11" fillId="0" borderId="28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6" fontId="0" fillId="0" borderId="0" xfId="0" applyNumberFormat="1" applyAlignment="1">
      <alignment horizontal="center"/>
    </xf>
    <xf numFmtId="0" fontId="5" fillId="0" borderId="31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/>
    </xf>
    <xf numFmtId="6" fontId="0" fillId="0" borderId="34" xfId="0" applyNumberFormat="1" applyBorder="1" applyAlignment="1">
      <alignment horizontal="center"/>
    </xf>
    <xf numFmtId="6" fontId="2" fillId="0" borderId="34" xfId="0" applyNumberFormat="1" applyFont="1" applyBorder="1" applyAlignment="1">
      <alignment horizontal="center"/>
    </xf>
    <xf numFmtId="6" fontId="2" fillId="0" borderId="35" xfId="0" applyNumberFormat="1" applyFont="1" applyBorder="1" applyAlignment="1">
      <alignment horizontal="center"/>
    </xf>
    <xf numFmtId="6" fontId="0" fillId="0" borderId="18" xfId="0" applyNumberFormat="1" applyBorder="1" applyAlignment="1">
      <alignment horizontal="center"/>
    </xf>
    <xf numFmtId="0" fontId="0" fillId="0" borderId="0" xfId="0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right" vertical="center" wrapText="1"/>
      <protection locked="0"/>
    </xf>
    <xf numFmtId="0" fontId="16" fillId="2" borderId="9" xfId="0" applyFont="1" applyFill="1" applyBorder="1" applyAlignment="1" applyProtection="1">
      <alignment horizontal="center"/>
      <protection locked="0"/>
    </xf>
    <xf numFmtId="8" fontId="16" fillId="2" borderId="9" xfId="1" applyNumberFormat="1" applyFont="1" applyFill="1" applyBorder="1" applyAlignment="1" applyProtection="1">
      <alignment horizontal="center"/>
      <protection locked="0"/>
    </xf>
    <xf numFmtId="0" fontId="16" fillId="2" borderId="10" xfId="0" applyFont="1" applyFill="1" applyBorder="1" applyAlignment="1" applyProtection="1">
      <alignment horizontal="center"/>
      <protection locked="0"/>
    </xf>
    <xf numFmtId="8" fontId="16" fillId="2" borderId="10" xfId="1" applyNumberFormat="1" applyFont="1" applyFill="1" applyBorder="1" applyAlignment="1" applyProtection="1">
      <alignment horizontal="center"/>
      <protection locked="0"/>
    </xf>
    <xf numFmtId="0" fontId="16" fillId="2" borderId="30" xfId="0" applyFont="1" applyFill="1" applyBorder="1" applyAlignment="1" applyProtection="1">
      <alignment horizontal="center"/>
      <protection locked="0"/>
    </xf>
    <xf numFmtId="166" fontId="16" fillId="2" borderId="19" xfId="1" applyNumberFormat="1" applyFont="1" applyFill="1" applyBorder="1" applyAlignment="1" applyProtection="1">
      <alignment horizontal="center"/>
      <protection locked="0"/>
    </xf>
    <xf numFmtId="0" fontId="16" fillId="2" borderId="19" xfId="0" applyFont="1" applyFill="1" applyBorder="1" applyAlignment="1" applyProtection="1">
      <alignment horizontal="center"/>
      <protection locked="0"/>
    </xf>
    <xf numFmtId="0" fontId="16" fillId="2" borderId="20" xfId="0" applyFont="1" applyFill="1" applyBorder="1" applyAlignment="1" applyProtection="1">
      <alignment horizontal="center"/>
      <protection locked="0"/>
    </xf>
    <xf numFmtId="166" fontId="16" fillId="2" borderId="20" xfId="1" applyNumberFormat="1" applyFont="1" applyFill="1" applyBorder="1" applyAlignment="1" applyProtection="1">
      <alignment horizontal="center"/>
      <protection locked="0"/>
    </xf>
    <xf numFmtId="166" fontId="16" fillId="2" borderId="32" xfId="1" applyNumberFormat="1" applyFont="1" applyFill="1" applyBorder="1" applyAlignment="1" applyProtection="1">
      <alignment horizontal="center"/>
      <protection locked="0"/>
    </xf>
    <xf numFmtId="166" fontId="16" fillId="2" borderId="33" xfId="1" applyNumberFormat="1" applyFont="1" applyFill="1" applyBorder="1" applyAlignment="1" applyProtection="1">
      <alignment horizontal="center"/>
      <protection locked="0"/>
    </xf>
    <xf numFmtId="6" fontId="0" fillId="2" borderId="9" xfId="0" applyNumberFormat="1" applyFill="1" applyBorder="1" applyAlignment="1" applyProtection="1">
      <alignment horizontal="center"/>
      <protection locked="0"/>
    </xf>
    <xf numFmtId="0" fontId="17" fillId="2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right"/>
      <protection locked="0"/>
    </xf>
    <xf numFmtId="6" fontId="0" fillId="2" borderId="9" xfId="1" applyNumberFormat="1" applyFont="1" applyFill="1" applyBorder="1" applyAlignment="1" applyProtection="1">
      <alignment horizontal="center"/>
      <protection locked="0"/>
    </xf>
    <xf numFmtId="8" fontId="0" fillId="0" borderId="28" xfId="1" applyNumberFormat="1" applyFont="1" applyBorder="1" applyAlignment="1">
      <alignment horizontal="center"/>
    </xf>
    <xf numFmtId="8" fontId="0" fillId="0" borderId="17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36" xfId="0" applyNumberFormat="1" applyBorder="1" applyAlignment="1">
      <alignment horizontal="center"/>
    </xf>
    <xf numFmtId="8" fontId="0" fillId="0" borderId="9" xfId="1" applyNumberFormat="1" applyFon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0" fontId="6" fillId="0" borderId="28" xfId="0" applyFont="1" applyBorder="1" applyAlignment="1">
      <alignment horizontal="right" vertical="center"/>
    </xf>
    <xf numFmtId="0" fontId="7" fillId="0" borderId="9" xfId="0" applyFont="1" applyBorder="1" applyAlignment="1">
      <alignment horizontal="right"/>
    </xf>
    <xf numFmtId="0" fontId="8" fillId="0" borderId="2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6" fillId="2" borderId="22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16" fillId="2" borderId="18" xfId="1" applyNumberFormat="1" applyFont="1" applyFill="1" applyBorder="1" applyAlignment="1" applyProtection="1">
      <alignment horizontal="center" vertical="center" wrapText="1"/>
      <protection locked="0"/>
    </xf>
    <xf numFmtId="166" fontId="16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18" xfId="0" applyFont="1" applyFill="1" applyBorder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1" fontId="9" fillId="0" borderId="18" xfId="1" applyNumberFormat="1" applyFont="1" applyBorder="1" applyAlignment="1">
      <alignment horizontal="center" vertical="center" wrapText="1"/>
    </xf>
    <xf numFmtId="1" fontId="9" fillId="0" borderId="5" xfId="1" applyNumberFormat="1" applyFont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1" fontId="9" fillId="0" borderId="18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66" fontId="16" fillId="2" borderId="23" xfId="1" applyNumberFormat="1" applyFont="1" applyFill="1" applyBorder="1" applyAlignment="1" applyProtection="1">
      <alignment horizontal="center" vertical="center" wrapText="1"/>
      <protection locked="0"/>
    </xf>
    <xf numFmtId="166" fontId="16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tabSelected="1" workbookViewId="0">
      <selection activeCell="B12" sqref="B12"/>
    </sheetView>
  </sheetViews>
  <sheetFormatPr baseColWidth="10" defaultRowHeight="15"/>
  <cols>
    <col min="1" max="1" width="38.7109375" customWidth="1"/>
    <col min="2" max="2" width="23" customWidth="1"/>
    <col min="3" max="3" width="13.5703125" customWidth="1"/>
    <col min="4" max="4" width="15.7109375" customWidth="1"/>
    <col min="5" max="5" width="4.7109375" customWidth="1"/>
    <col min="6" max="6" width="19.28515625" customWidth="1"/>
    <col min="7" max="7" width="15" bestFit="1" customWidth="1"/>
    <col min="8" max="8" width="16" customWidth="1"/>
    <col min="9" max="9" width="4.7109375" customWidth="1"/>
    <col min="10" max="10" width="19.28515625" customWidth="1"/>
    <col min="11" max="11" width="15.140625" customWidth="1"/>
    <col min="12" max="12" width="16.5703125" customWidth="1"/>
    <col min="13" max="13" width="8.85546875" style="78" bestFit="1" customWidth="1"/>
  </cols>
  <sheetData>
    <row r="1" spans="1:13" s="36" customFormat="1" ht="28.5" customHeight="1" thickBot="1">
      <c r="A1" s="112" t="s">
        <v>37</v>
      </c>
      <c r="B1" s="113"/>
      <c r="C1" s="113"/>
      <c r="D1" s="114"/>
      <c r="F1" s="115" t="s">
        <v>38</v>
      </c>
      <c r="G1" s="113"/>
      <c r="H1" s="114"/>
      <c r="J1" s="115" t="s">
        <v>49</v>
      </c>
      <c r="K1" s="113"/>
      <c r="L1" s="114"/>
      <c r="M1" s="76"/>
    </row>
    <row r="2" spans="1:13" s="17" customFormat="1" ht="30.75" thickBot="1">
      <c r="A2" s="101" t="s">
        <v>72</v>
      </c>
      <c r="B2" s="16" t="s">
        <v>12</v>
      </c>
      <c r="C2" s="116">
        <v>10</v>
      </c>
      <c r="D2" s="117"/>
      <c r="F2" s="16"/>
      <c r="G2" s="118"/>
      <c r="H2" s="119"/>
      <c r="J2" s="16"/>
      <c r="K2" s="118"/>
      <c r="L2" s="119"/>
      <c r="M2" s="77"/>
    </row>
    <row r="3" spans="1:13" s="17" customFormat="1" ht="45">
      <c r="A3" s="68" t="s">
        <v>62</v>
      </c>
      <c r="B3" s="18" t="s">
        <v>0</v>
      </c>
      <c r="C3" s="120">
        <v>2000</v>
      </c>
      <c r="D3" s="121"/>
      <c r="E3" s="87"/>
      <c r="F3" s="88" t="s">
        <v>33</v>
      </c>
      <c r="G3" s="120">
        <v>0.5</v>
      </c>
      <c r="H3" s="121"/>
      <c r="J3" s="18" t="s">
        <v>56</v>
      </c>
      <c r="K3" s="120">
        <v>0.5</v>
      </c>
      <c r="L3" s="121"/>
      <c r="M3" s="77"/>
    </row>
    <row r="4" spans="1:13" s="17" customFormat="1" ht="30">
      <c r="A4" s="67" t="str">
        <f>IF(C3&lt;SUM(B18+G18+K18)/100*10,"Miete gut zu erwirtschaften","")</f>
        <v>Miete gut zu erwirtschaften</v>
      </c>
      <c r="B4" s="18" t="s">
        <v>1</v>
      </c>
      <c r="C4" s="122">
        <v>60</v>
      </c>
      <c r="D4" s="123"/>
      <c r="F4" s="18" t="s">
        <v>46</v>
      </c>
      <c r="G4" s="124">
        <f>G17/G5/C5</f>
        <v>17.75</v>
      </c>
      <c r="H4" s="125"/>
      <c r="J4" s="18" t="s">
        <v>51</v>
      </c>
      <c r="K4" s="124">
        <f>K17/K5/C5</f>
        <v>28.133333333333336</v>
      </c>
      <c r="L4" s="125"/>
      <c r="M4" s="77"/>
    </row>
    <row r="5" spans="1:13" s="17" customFormat="1" ht="30">
      <c r="A5" s="70" t="str">
        <f>IF(AND(C3&gt;SUM(B18+G18+K18)/100*10,C3&lt;SUM(B18+G18+K18)/100*15),"Miete knapp zu erwirtschaften","")</f>
        <v/>
      </c>
      <c r="B5" s="18" t="s">
        <v>20</v>
      </c>
      <c r="C5" s="122">
        <v>25</v>
      </c>
      <c r="D5" s="123"/>
      <c r="F5" s="18" t="s">
        <v>32</v>
      </c>
      <c r="G5" s="120">
        <v>20</v>
      </c>
      <c r="H5" s="121"/>
      <c r="J5" s="18" t="s">
        <v>52</v>
      </c>
      <c r="K5" s="120">
        <v>7.5</v>
      </c>
      <c r="L5" s="121"/>
      <c r="M5" s="77"/>
    </row>
    <row r="6" spans="1:13" s="17" customFormat="1" ht="30">
      <c r="A6" s="69" t="str">
        <f>IF(C3&gt;SUM(B18+G18+K18)/100*15,"Miete schwer zu erwirtschaften","")</f>
        <v/>
      </c>
      <c r="B6" s="18" t="s">
        <v>21</v>
      </c>
      <c r="C6" s="122">
        <v>200</v>
      </c>
      <c r="D6" s="123"/>
      <c r="F6" s="18" t="s">
        <v>29</v>
      </c>
      <c r="G6" s="122">
        <v>8</v>
      </c>
      <c r="H6" s="123"/>
      <c r="J6" s="18" t="s">
        <v>58</v>
      </c>
      <c r="K6" s="126">
        <v>4</v>
      </c>
      <c r="L6" s="127"/>
      <c r="M6" s="77"/>
    </row>
    <row r="7" spans="1:13" s="17" customFormat="1" ht="45">
      <c r="A7" s="128"/>
      <c r="B7" s="18" t="s">
        <v>22</v>
      </c>
      <c r="C7" s="122">
        <v>40</v>
      </c>
      <c r="D7" s="123"/>
      <c r="F7" s="18" t="s">
        <v>36</v>
      </c>
      <c r="G7" s="130">
        <f>IF(G4&gt;G6*3,G4/3,G6)</f>
        <v>8</v>
      </c>
      <c r="H7" s="131"/>
      <c r="J7" s="18" t="s">
        <v>53</v>
      </c>
      <c r="K7" s="130">
        <f>K6</f>
        <v>4</v>
      </c>
      <c r="L7" s="131"/>
      <c r="M7" s="77"/>
    </row>
    <row r="8" spans="1:13" s="17" customFormat="1" ht="60.75" thickBot="1">
      <c r="A8" s="129"/>
      <c r="B8" s="19" t="s">
        <v>23</v>
      </c>
      <c r="C8" s="132">
        <v>13</v>
      </c>
      <c r="D8" s="133"/>
      <c r="F8" s="19" t="s">
        <v>28</v>
      </c>
      <c r="G8" s="132">
        <v>13</v>
      </c>
      <c r="H8" s="133"/>
      <c r="J8" s="19" t="s">
        <v>54</v>
      </c>
      <c r="K8" s="132">
        <v>13</v>
      </c>
      <c r="L8" s="133"/>
      <c r="M8" s="77"/>
    </row>
    <row r="9" spans="1:13" ht="16.5" thickBot="1">
      <c r="A9" s="57"/>
      <c r="B9" s="3"/>
      <c r="C9" s="4"/>
      <c r="D9" s="58"/>
      <c r="F9" s="61"/>
      <c r="G9" s="64"/>
      <c r="H9" s="58"/>
      <c r="J9" s="61"/>
      <c r="K9" s="64"/>
      <c r="L9" s="58"/>
    </row>
    <row r="10" spans="1:13" s="28" customFormat="1" ht="65.25" customHeight="1">
      <c r="A10" s="25" t="s">
        <v>63</v>
      </c>
      <c r="B10" s="25" t="s">
        <v>19</v>
      </c>
      <c r="C10" s="25" t="s">
        <v>47</v>
      </c>
      <c r="D10" s="26" t="s">
        <v>24</v>
      </c>
      <c r="E10" s="27"/>
      <c r="F10" s="25" t="s">
        <v>63</v>
      </c>
      <c r="G10" s="72" t="s">
        <v>67</v>
      </c>
      <c r="H10" s="25" t="s">
        <v>69</v>
      </c>
      <c r="J10" s="25" t="s">
        <v>55</v>
      </c>
      <c r="K10" s="25" t="s">
        <v>68</v>
      </c>
      <c r="L10" s="81" t="s">
        <v>70</v>
      </c>
      <c r="M10" s="25" t="s">
        <v>71</v>
      </c>
    </row>
    <row r="11" spans="1:13" ht="15.75">
      <c r="A11" s="89" t="s">
        <v>64</v>
      </c>
      <c r="B11" s="89">
        <v>50</v>
      </c>
      <c r="C11" s="90">
        <v>4.5</v>
      </c>
      <c r="D11" s="90">
        <v>1.1499999999999999</v>
      </c>
      <c r="E11" s="6"/>
      <c r="F11" s="73" t="str">
        <f>A11</f>
        <v>Produktgruppe 1</v>
      </c>
      <c r="G11" s="93">
        <v>20</v>
      </c>
      <c r="H11" s="94">
        <v>4.5</v>
      </c>
      <c r="J11" s="75" t="str">
        <f>A11</f>
        <v>Produktgruppe 1</v>
      </c>
      <c r="K11" s="93">
        <v>20</v>
      </c>
      <c r="L11" s="98">
        <v>4.5</v>
      </c>
      <c r="M11" s="73">
        <f>K11+G11+B11</f>
        <v>90</v>
      </c>
    </row>
    <row r="12" spans="1:13" ht="15.75">
      <c r="A12" s="89" t="s">
        <v>65</v>
      </c>
      <c r="B12" s="89">
        <v>75</v>
      </c>
      <c r="C12" s="90">
        <v>7.2</v>
      </c>
      <c r="D12" s="90">
        <v>1.21</v>
      </c>
      <c r="E12" s="6"/>
      <c r="F12" s="73" t="str">
        <f>A12</f>
        <v>Produktgruppe 2</v>
      </c>
      <c r="G12" s="95">
        <v>30</v>
      </c>
      <c r="H12" s="94">
        <v>7.2</v>
      </c>
      <c r="J12" s="73" t="str">
        <f>A12</f>
        <v>Produktgruppe 2</v>
      </c>
      <c r="K12" s="95">
        <v>10</v>
      </c>
      <c r="L12" s="98">
        <v>7.2</v>
      </c>
      <c r="M12" s="73">
        <f t="shared" ref="M12:M13" si="0">K12+G12+B12</f>
        <v>115</v>
      </c>
    </row>
    <row r="13" spans="1:13" ht="16.5" thickBot="1">
      <c r="A13" s="91" t="s">
        <v>66</v>
      </c>
      <c r="B13" s="91">
        <v>40</v>
      </c>
      <c r="C13" s="92">
        <v>9.8000000000000007</v>
      </c>
      <c r="D13" s="92">
        <v>2.88</v>
      </c>
      <c r="E13" s="6"/>
      <c r="F13" s="74" t="str">
        <f>A13</f>
        <v>Produktgruppe 3</v>
      </c>
      <c r="G13" s="96">
        <v>5</v>
      </c>
      <c r="H13" s="97">
        <v>9.8000000000000007</v>
      </c>
      <c r="J13" s="74" t="str">
        <f>A13</f>
        <v>Produktgruppe 3</v>
      </c>
      <c r="K13" s="96">
        <v>5</v>
      </c>
      <c r="L13" s="99">
        <v>9.8000000000000007</v>
      </c>
      <c r="M13" s="74">
        <f t="shared" si="0"/>
        <v>50</v>
      </c>
    </row>
    <row r="14" spans="1:13" ht="15.75" thickBot="1">
      <c r="A14" s="59"/>
      <c r="B14" s="5"/>
      <c r="C14" s="6"/>
      <c r="D14" s="60"/>
      <c r="E14" s="6"/>
      <c r="F14" s="61"/>
      <c r="G14" s="64"/>
      <c r="H14" s="58"/>
      <c r="J14" s="61"/>
      <c r="K14" s="64"/>
      <c r="L14" s="58"/>
    </row>
    <row r="15" spans="1:13" s="30" customFormat="1" ht="33" customHeight="1" thickBot="1">
      <c r="A15" s="134" t="s">
        <v>25</v>
      </c>
      <c r="B15" s="135"/>
      <c r="C15" s="135"/>
      <c r="D15" s="136"/>
      <c r="E15" s="29"/>
      <c r="F15" s="137" t="s">
        <v>61</v>
      </c>
      <c r="G15" s="135"/>
      <c r="H15" s="136"/>
      <c r="J15" s="137" t="s">
        <v>60</v>
      </c>
      <c r="K15" s="135"/>
      <c r="L15" s="136"/>
      <c r="M15" s="79"/>
    </row>
    <row r="16" spans="1:13" s="34" customFormat="1" ht="15.75">
      <c r="A16" s="31"/>
      <c r="B16" s="32" t="s">
        <v>40</v>
      </c>
      <c r="C16" s="32" t="s">
        <v>41</v>
      </c>
      <c r="D16" s="32" t="s">
        <v>42</v>
      </c>
      <c r="E16" s="33"/>
      <c r="F16" s="31"/>
      <c r="G16" s="39" t="s">
        <v>40</v>
      </c>
      <c r="H16" s="39" t="s">
        <v>41</v>
      </c>
      <c r="J16" s="31"/>
      <c r="K16" s="39" t="s">
        <v>40</v>
      </c>
      <c r="L16" s="82" t="s">
        <v>41</v>
      </c>
      <c r="M16" s="71" t="s">
        <v>40</v>
      </c>
    </row>
    <row r="17" spans="1:14">
      <c r="A17" s="7" t="s">
        <v>6</v>
      </c>
      <c r="B17" s="11">
        <f>(B11*C11+B12*C12+B13*C13)*C5</f>
        <v>28925</v>
      </c>
      <c r="C17" s="11">
        <f>B17/$C$5</f>
        <v>1157</v>
      </c>
      <c r="D17" s="11">
        <f>B17/$C$6</f>
        <v>144.625</v>
      </c>
      <c r="E17" s="20"/>
      <c r="F17" s="7" t="s">
        <v>6</v>
      </c>
      <c r="G17" s="11">
        <f>(G11*H11+G12*H12+G13*H13)*C5</f>
        <v>8875</v>
      </c>
      <c r="H17" s="11">
        <f>G17/$C$5</f>
        <v>355</v>
      </c>
      <c r="J17" s="7" t="s">
        <v>6</v>
      </c>
      <c r="K17" s="11">
        <f>(K11*L11+K12*L12+K13*L13)*C5</f>
        <v>5275</v>
      </c>
      <c r="L17" s="83">
        <f>K17/$C$5</f>
        <v>211</v>
      </c>
      <c r="M17" s="86">
        <f>K17+G17+B17</f>
        <v>43075</v>
      </c>
    </row>
    <row r="18" spans="1:14">
      <c r="A18" s="7" t="s">
        <v>7</v>
      </c>
      <c r="B18" s="11">
        <f>B17/1.19</f>
        <v>24306.722689075632</v>
      </c>
      <c r="C18" s="11">
        <f t="shared" ref="C18:C29" si="1">B18/$C$5</f>
        <v>972.26890756302532</v>
      </c>
      <c r="D18" s="11">
        <f t="shared" ref="D18:D29" si="2">B18/$C$6</f>
        <v>121.53361344537817</v>
      </c>
      <c r="E18" s="20"/>
      <c r="F18" s="7" t="s">
        <v>7</v>
      </c>
      <c r="G18" s="11">
        <f>G17/1.07</f>
        <v>8294.3925233644859</v>
      </c>
      <c r="H18" s="11">
        <f>G18/$C$5</f>
        <v>331.77570093457945</v>
      </c>
      <c r="J18" s="7" t="s">
        <v>7</v>
      </c>
      <c r="K18" s="11">
        <f>K17/1.07</f>
        <v>4929.9065420560746</v>
      </c>
      <c r="L18" s="83">
        <f>K18/$C$5</f>
        <v>197.19626168224298</v>
      </c>
      <c r="M18" s="86">
        <f t="shared" ref="M18:M29" si="3">K18+G18+B18</f>
        <v>37531.021754496192</v>
      </c>
    </row>
    <row r="19" spans="1:14">
      <c r="A19" s="7" t="s">
        <v>2</v>
      </c>
      <c r="B19" s="11">
        <f>(B11*D11+B12*D12+B13*D13)*C5*-1</f>
        <v>-6586.25</v>
      </c>
      <c r="C19" s="11">
        <f t="shared" si="1"/>
        <v>-263.45</v>
      </c>
      <c r="D19" s="11">
        <f t="shared" si="2"/>
        <v>-32.931249999999999</v>
      </c>
      <c r="E19" s="20"/>
      <c r="F19" s="7" t="s">
        <v>2</v>
      </c>
      <c r="G19" s="24">
        <f>(G11*D11+G12*D12+G13*D13)*C5*-1</f>
        <v>-1842.4999999999998</v>
      </c>
      <c r="H19" s="11">
        <f>G19/$C$5</f>
        <v>-73.699999999999989</v>
      </c>
      <c r="J19" s="7" t="s">
        <v>2</v>
      </c>
      <c r="K19" s="24">
        <f>(K11*D11+K12*D12+K13*D13)*K5*-1</f>
        <v>-371.25</v>
      </c>
      <c r="L19" s="83">
        <f>K19/$C$5</f>
        <v>-14.85</v>
      </c>
      <c r="M19" s="86">
        <f t="shared" si="3"/>
        <v>-8800</v>
      </c>
    </row>
    <row r="20" spans="1:14" s="1" customFormat="1" ht="15.75">
      <c r="A20" s="8" t="s">
        <v>8</v>
      </c>
      <c r="B20" s="12">
        <f>B18+B19</f>
        <v>17720.472689075632</v>
      </c>
      <c r="C20" s="11">
        <f t="shared" si="1"/>
        <v>708.81890756302528</v>
      </c>
      <c r="D20" s="11">
        <f t="shared" si="2"/>
        <v>88.60236344537816</v>
      </c>
      <c r="E20" s="20"/>
      <c r="F20" s="8" t="s">
        <v>26</v>
      </c>
      <c r="G20" s="13">
        <f>G18+G19</f>
        <v>6451.8925233644859</v>
      </c>
      <c r="H20" s="11">
        <f t="shared" ref="H20:H29" si="4">G20/$C$5</f>
        <v>258.07570093457946</v>
      </c>
      <c r="J20" s="8" t="s">
        <v>26</v>
      </c>
      <c r="K20" s="13">
        <f>K18+K19</f>
        <v>4558.6565420560746</v>
      </c>
      <c r="L20" s="83">
        <f t="shared" ref="L20:L29" si="5">K20/$C$5</f>
        <v>182.34626168224298</v>
      </c>
      <c r="M20" s="86">
        <f t="shared" si="3"/>
        <v>28731.021754496192</v>
      </c>
    </row>
    <row r="21" spans="1:14">
      <c r="A21" s="7" t="s">
        <v>9</v>
      </c>
      <c r="B21" s="24">
        <f>C7*C5*C8*-1</f>
        <v>-13000</v>
      </c>
      <c r="C21" s="11">
        <f t="shared" si="1"/>
        <v>-520</v>
      </c>
      <c r="D21" s="11">
        <f t="shared" si="2"/>
        <v>-65</v>
      </c>
      <c r="E21" s="20"/>
      <c r="F21" s="7" t="s">
        <v>27</v>
      </c>
      <c r="G21" s="24">
        <f>G7*G8*C5*-1</f>
        <v>-2600</v>
      </c>
      <c r="H21" s="11">
        <f t="shared" si="4"/>
        <v>-104</v>
      </c>
      <c r="J21" s="7" t="s">
        <v>27</v>
      </c>
      <c r="K21" s="24">
        <f>K7*K8*C5*-1</f>
        <v>-1300</v>
      </c>
      <c r="L21" s="83">
        <f t="shared" si="5"/>
        <v>-52</v>
      </c>
      <c r="M21" s="86">
        <f t="shared" si="3"/>
        <v>-16900</v>
      </c>
    </row>
    <row r="22" spans="1:14" s="1" customFormat="1" ht="15.75">
      <c r="A22" s="8" t="s">
        <v>3</v>
      </c>
      <c r="B22" s="12">
        <f>B21+B20</f>
        <v>4720.4726890756319</v>
      </c>
      <c r="C22" s="11">
        <f t="shared" si="1"/>
        <v>188.81890756302528</v>
      </c>
      <c r="D22" s="11">
        <f t="shared" si="2"/>
        <v>23.60236344537816</v>
      </c>
      <c r="E22" s="20"/>
      <c r="F22" s="8" t="s">
        <v>3</v>
      </c>
      <c r="G22" s="13">
        <f>G20+G21</f>
        <v>3851.8925233644859</v>
      </c>
      <c r="H22" s="11">
        <f t="shared" si="4"/>
        <v>154.07570093457943</v>
      </c>
      <c r="J22" s="8" t="s">
        <v>3</v>
      </c>
      <c r="K22" s="13">
        <f>K20+K21</f>
        <v>3258.6565420560746</v>
      </c>
      <c r="L22" s="83">
        <f t="shared" si="5"/>
        <v>130.34626168224298</v>
      </c>
      <c r="M22" s="86">
        <f t="shared" si="3"/>
        <v>11831.021754496192</v>
      </c>
    </row>
    <row r="23" spans="1:14">
      <c r="A23" s="7" t="s">
        <v>4</v>
      </c>
      <c r="B23" s="11">
        <f>C3*-1</f>
        <v>-2000</v>
      </c>
      <c r="C23" s="11">
        <f t="shared" si="1"/>
        <v>-80</v>
      </c>
      <c r="D23" s="11">
        <f t="shared" si="2"/>
        <v>-10</v>
      </c>
      <c r="E23" s="20"/>
      <c r="F23" s="7" t="s">
        <v>30</v>
      </c>
      <c r="G23" s="24">
        <f>G3*G4*C5*-1</f>
        <v>-221.875</v>
      </c>
      <c r="H23" s="11">
        <f t="shared" si="4"/>
        <v>-8.875</v>
      </c>
      <c r="J23" s="7" t="s">
        <v>57</v>
      </c>
      <c r="K23" s="24">
        <f>K3*K4*C5*-1</f>
        <v>-351.66666666666669</v>
      </c>
      <c r="L23" s="83">
        <f t="shared" si="5"/>
        <v>-14.066666666666668</v>
      </c>
      <c r="M23" s="86">
        <f t="shared" si="3"/>
        <v>-2573.541666666667</v>
      </c>
    </row>
    <row r="24" spans="1:14">
      <c r="A24" s="7" t="s">
        <v>5</v>
      </c>
      <c r="B24" s="11">
        <f>((B18/100*7)+((G18+K18)/100*2.5))*-1</f>
        <v>-2032.0780648708085</v>
      </c>
      <c r="C24" s="11">
        <f t="shared" si="1"/>
        <v>-81.283122594832335</v>
      </c>
      <c r="D24" s="11">
        <f t="shared" si="2"/>
        <v>-10.160390324354042</v>
      </c>
      <c r="E24" s="20"/>
      <c r="F24" s="7" t="s">
        <v>31</v>
      </c>
      <c r="G24" s="24">
        <f>G18/100*5*-1</f>
        <v>-414.71962616822429</v>
      </c>
      <c r="H24" s="11">
        <f t="shared" si="4"/>
        <v>-16.588785046728972</v>
      </c>
      <c r="J24" s="7" t="s">
        <v>31</v>
      </c>
      <c r="K24" s="24">
        <f>K18/100*5*-1</f>
        <v>-246.49532710280371</v>
      </c>
      <c r="L24" s="83">
        <f t="shared" si="5"/>
        <v>-9.8598130841121492</v>
      </c>
      <c r="M24" s="86">
        <f t="shared" si="3"/>
        <v>-2693.2930181418365</v>
      </c>
    </row>
    <row r="25" spans="1:14" s="1" customFormat="1" ht="15.75">
      <c r="A25" s="8" t="s">
        <v>10</v>
      </c>
      <c r="B25" s="13">
        <f>B22+B23+B24</f>
        <v>688.39462420482346</v>
      </c>
      <c r="C25" s="12">
        <f t="shared" si="1"/>
        <v>27.535784968192939</v>
      </c>
      <c r="D25" s="12">
        <f t="shared" si="2"/>
        <v>3.4419731210241173</v>
      </c>
      <c r="E25" s="20"/>
      <c r="F25" s="37" t="s">
        <v>34</v>
      </c>
      <c r="G25" s="53">
        <f>(G11+G12+G13)*C5*0.5*-1</f>
        <v>-687.5</v>
      </c>
      <c r="H25" s="11">
        <f t="shared" si="4"/>
        <v>-27.5</v>
      </c>
      <c r="J25" s="37" t="s">
        <v>34</v>
      </c>
      <c r="K25" s="53">
        <f>(K11+K12+K13)*C5*0.5*-1</f>
        <v>-437.5</v>
      </c>
      <c r="L25" s="83">
        <f t="shared" si="5"/>
        <v>-17.5</v>
      </c>
      <c r="M25" s="86">
        <f>K25+G25</f>
        <v>-1125</v>
      </c>
    </row>
    <row r="26" spans="1:14">
      <c r="A26" s="111" t="s">
        <v>13</v>
      </c>
      <c r="B26" s="100">
        <v>-1500</v>
      </c>
      <c r="C26" s="11">
        <f t="shared" si="1"/>
        <v>-60</v>
      </c>
      <c r="D26" s="11">
        <f t="shared" si="2"/>
        <v>-7.5</v>
      </c>
      <c r="E26" s="20"/>
      <c r="F26" s="7" t="s">
        <v>35</v>
      </c>
      <c r="G26" s="24">
        <f>IF(G4&gt;G6*3,G4/(G6*3)*400,400)*-1</f>
        <v>-400</v>
      </c>
      <c r="H26" s="11">
        <f t="shared" si="4"/>
        <v>-16</v>
      </c>
      <c r="J26" s="102" t="s">
        <v>73</v>
      </c>
      <c r="K26" s="103">
        <v>0</v>
      </c>
      <c r="L26" s="83">
        <f t="shared" si="5"/>
        <v>0</v>
      </c>
      <c r="M26" s="86">
        <f t="shared" si="3"/>
        <v>-1900</v>
      </c>
    </row>
    <row r="27" spans="1:14" s="1" customFormat="1" ht="15.75">
      <c r="A27" s="8" t="s">
        <v>16</v>
      </c>
      <c r="B27" s="12">
        <f>B25+B26</f>
        <v>-811.60537579517654</v>
      </c>
      <c r="C27" s="11">
        <f t="shared" si="1"/>
        <v>-32.464215031807065</v>
      </c>
      <c r="D27" s="11">
        <f t="shared" si="2"/>
        <v>-4.0580268789758831</v>
      </c>
      <c r="E27" s="20"/>
      <c r="F27" s="8" t="s">
        <v>39</v>
      </c>
      <c r="G27" s="13">
        <f>G22+SUM(G23:G26)</f>
        <v>2127.7978971962616</v>
      </c>
      <c r="H27" s="12">
        <f t="shared" si="4"/>
        <v>85.111915887850458</v>
      </c>
      <c r="J27" s="8" t="s">
        <v>39</v>
      </c>
      <c r="K27" s="13">
        <f>K22+SUM(K23:K26)</f>
        <v>2222.9945482866042</v>
      </c>
      <c r="L27" s="84">
        <f t="shared" si="5"/>
        <v>88.919781931464172</v>
      </c>
      <c r="M27" s="86">
        <f t="shared" si="3"/>
        <v>3539.1870696876895</v>
      </c>
      <c r="N27" s="66"/>
    </row>
    <row r="28" spans="1:14">
      <c r="A28" s="7" t="s">
        <v>11</v>
      </c>
      <c r="B28" s="11">
        <f>IF(B27&gt;0,B27/100*25,0)*-1</f>
        <v>0</v>
      </c>
      <c r="C28" s="11">
        <f t="shared" si="1"/>
        <v>0</v>
      </c>
      <c r="D28" s="11">
        <f t="shared" si="2"/>
        <v>0</v>
      </c>
      <c r="E28" s="20"/>
      <c r="F28" s="7" t="s">
        <v>43</v>
      </c>
      <c r="G28" s="11">
        <f>IF(B27+G27&gt;0,(B27+G27)/100*25,0)*-1</f>
        <v>-329.04813035027126</v>
      </c>
      <c r="H28" s="11">
        <f t="shared" si="4"/>
        <v>-13.16192521401085</v>
      </c>
      <c r="J28" s="7" t="s">
        <v>43</v>
      </c>
      <c r="K28" s="11">
        <f>IF(B27+G27+K27&gt;0,(B27+G27+K27)/100*25,0)*-1</f>
        <v>-884.79676742192237</v>
      </c>
      <c r="L28" s="83">
        <f t="shared" si="5"/>
        <v>-35.391870696876893</v>
      </c>
      <c r="M28" s="86">
        <f t="shared" si="3"/>
        <v>-1213.8448977721937</v>
      </c>
    </row>
    <row r="29" spans="1:14" s="1" customFormat="1" ht="16.5" thickBot="1">
      <c r="A29" s="9" t="s">
        <v>17</v>
      </c>
      <c r="B29" s="14">
        <f>C2*C8*C5+B27+B28</f>
        <v>2438.3946242048232</v>
      </c>
      <c r="C29" s="12">
        <f t="shared" si="1"/>
        <v>97.535784968192928</v>
      </c>
      <c r="D29" s="14">
        <f t="shared" si="2"/>
        <v>12.191973121024116</v>
      </c>
      <c r="E29" s="20"/>
      <c r="F29" s="9" t="s">
        <v>44</v>
      </c>
      <c r="G29" s="40">
        <f>G27+G28</f>
        <v>1798.7497668459903</v>
      </c>
      <c r="H29" s="14">
        <f t="shared" si="4"/>
        <v>71.949990673839608</v>
      </c>
      <c r="J29" s="9" t="s">
        <v>44</v>
      </c>
      <c r="K29" s="40">
        <f>K27+K28</f>
        <v>1338.1977808646818</v>
      </c>
      <c r="L29" s="85">
        <f t="shared" si="5"/>
        <v>53.527911234587272</v>
      </c>
      <c r="M29" s="86">
        <f t="shared" si="3"/>
        <v>5575.3421719154958</v>
      </c>
    </row>
    <row r="30" spans="1:14" ht="15.75" thickBot="1">
      <c r="A30" s="61"/>
      <c r="B30" s="62"/>
      <c r="C30" s="63"/>
      <c r="D30" s="58"/>
      <c r="F30" s="61"/>
      <c r="G30" s="64"/>
      <c r="H30" s="58"/>
      <c r="J30" s="61"/>
      <c r="K30" s="64"/>
      <c r="L30" s="58"/>
      <c r="M30" s="80"/>
    </row>
    <row r="31" spans="1:14" s="34" customFormat="1" ht="33" customHeight="1" thickBot="1">
      <c r="A31" s="138" t="s">
        <v>45</v>
      </c>
      <c r="B31" s="139"/>
      <c r="C31" s="139"/>
      <c r="D31" s="140"/>
      <c r="E31" s="29"/>
      <c r="F31" s="138" t="s">
        <v>48</v>
      </c>
      <c r="G31" s="139"/>
      <c r="H31" s="140"/>
      <c r="J31" s="138" t="s">
        <v>50</v>
      </c>
      <c r="K31" s="139"/>
      <c r="L31" s="140"/>
      <c r="M31" s="80"/>
    </row>
    <row r="32" spans="1:14" s="30" customFormat="1" ht="15.75">
      <c r="A32" s="41"/>
      <c r="B32" s="42" t="s">
        <v>40</v>
      </c>
      <c r="C32" s="42" t="s">
        <v>41</v>
      </c>
      <c r="D32" s="42" t="s">
        <v>42</v>
      </c>
      <c r="E32" s="29"/>
      <c r="F32" s="43" t="s">
        <v>40</v>
      </c>
      <c r="G32" s="43" t="s">
        <v>41</v>
      </c>
      <c r="H32" s="44" t="s">
        <v>42</v>
      </c>
      <c r="J32" s="43" t="s">
        <v>40</v>
      </c>
      <c r="K32" s="43" t="s">
        <v>41</v>
      </c>
      <c r="L32" s="44" t="s">
        <v>42</v>
      </c>
      <c r="M32" s="80"/>
    </row>
    <row r="33" spans="1:13" s="35" customFormat="1">
      <c r="A33" s="52" t="s">
        <v>14</v>
      </c>
      <c r="B33" s="53">
        <f>B29/1.25</f>
        <v>1950.7156993638587</v>
      </c>
      <c r="C33" s="53">
        <f>B33/C5</f>
        <v>78.028627974554354</v>
      </c>
      <c r="D33" s="53">
        <f>B33/$C$6</f>
        <v>9.7535784968192942</v>
      </c>
      <c r="E33" s="54"/>
      <c r="F33" s="55">
        <f>(B29+G29)/1.25</f>
        <v>3389.7155128406507</v>
      </c>
      <c r="G33" s="55">
        <f>F33/$C$5</f>
        <v>135.58862051362604</v>
      </c>
      <c r="H33" s="56">
        <f>F33/$C$6</f>
        <v>16.948577564203255</v>
      </c>
      <c r="J33" s="55">
        <f>(B29+G29+K29)/1.25</f>
        <v>4460.2737375323959</v>
      </c>
      <c r="K33" s="55">
        <f>J33/$C$5</f>
        <v>178.41094950129585</v>
      </c>
      <c r="L33" s="56">
        <f>J33/$C$6</f>
        <v>22.301368687661981</v>
      </c>
      <c r="M33" s="80"/>
    </row>
    <row r="34" spans="1:13">
      <c r="A34" s="7" t="s">
        <v>15</v>
      </c>
      <c r="B34" s="24">
        <f>B17/C4</f>
        <v>482.08333333333331</v>
      </c>
      <c r="C34" s="24">
        <f>B34/C5</f>
        <v>19.283333333333331</v>
      </c>
      <c r="D34" s="24">
        <f t="shared" ref="D34:D37" si="6">B34/$C$6</f>
        <v>2.4104166666666664</v>
      </c>
      <c r="E34" s="21"/>
      <c r="F34" s="11">
        <f>(B17+G17)/C4</f>
        <v>630</v>
      </c>
      <c r="G34" s="11">
        <f t="shared" ref="G34:G37" si="7">F34/$C$5</f>
        <v>25.2</v>
      </c>
      <c r="H34" s="38">
        <f t="shared" ref="H34:H37" si="8">F34/$C$6</f>
        <v>3.15</v>
      </c>
      <c r="J34" s="11">
        <f>(B17+G17+K17)/C4</f>
        <v>717.91666666666663</v>
      </c>
      <c r="K34" s="11">
        <f t="shared" ref="K34:K37" si="9">J34/$C$5</f>
        <v>28.716666666666665</v>
      </c>
      <c r="L34" s="38">
        <f t="shared" ref="L34:L37" si="10">J34/$C$6</f>
        <v>3.5895833333333331</v>
      </c>
      <c r="M34" s="80"/>
    </row>
    <row r="35" spans="1:13">
      <c r="A35" s="7" t="s">
        <v>18</v>
      </c>
      <c r="B35" s="108">
        <f>B27/$C$4</f>
        <v>-13.526756263252942</v>
      </c>
      <c r="C35" s="109">
        <f>C27/C$5/$C$4</f>
        <v>-2.164281002120471E-2</v>
      </c>
      <c r="D35" s="109">
        <f>B35/C5/$C$6</f>
        <v>-2.7053512526505883E-3</v>
      </c>
      <c r="E35" s="22"/>
      <c r="F35" s="10">
        <f>(B27+G27)/C4</f>
        <v>21.936542023351418</v>
      </c>
      <c r="G35" s="47">
        <f t="shared" si="7"/>
        <v>0.87746168093405674</v>
      </c>
      <c r="H35" s="48">
        <f t="shared" si="8"/>
        <v>0.10968271011675709</v>
      </c>
      <c r="J35" s="10">
        <f>(B27+G27+K27)/C4</f>
        <v>58.986451161461488</v>
      </c>
      <c r="K35" s="47">
        <f t="shared" si="9"/>
        <v>2.3594580464584594</v>
      </c>
      <c r="L35" s="48">
        <f t="shared" si="10"/>
        <v>0.29493225580730742</v>
      </c>
      <c r="M35" s="80"/>
    </row>
    <row r="36" spans="1:13" ht="15.75" thickBot="1">
      <c r="A36" s="110" t="s">
        <v>74</v>
      </c>
      <c r="B36" s="104">
        <f>$B$17/$C$6*60/60/30</f>
        <v>4.8208333333333337</v>
      </c>
      <c r="C36" s="104">
        <f>$B$17/$C$6*60/60/45</f>
        <v>3.213888888888889</v>
      </c>
      <c r="D36" s="104">
        <f t="shared" ref="D36" si="11">$B$17/$C$6*60/60/60</f>
        <v>2.4104166666666669</v>
      </c>
      <c r="E36" s="22"/>
      <c r="F36" s="105"/>
      <c r="G36" s="106"/>
      <c r="H36" s="107"/>
      <c r="J36" s="105"/>
      <c r="K36" s="106"/>
      <c r="L36" s="107"/>
      <c r="M36" s="80"/>
    </row>
    <row r="37" spans="1:13" s="15" customFormat="1" ht="33" customHeight="1" thickBot="1">
      <c r="A37" s="65" t="s">
        <v>59</v>
      </c>
      <c r="B37" s="45">
        <f>B27+C3-1000</f>
        <v>188.39462420482346</v>
      </c>
      <c r="C37" s="45">
        <f>B37/C5</f>
        <v>7.5357849681929387</v>
      </c>
      <c r="D37" s="46">
        <f t="shared" si="6"/>
        <v>0.94197312102411734</v>
      </c>
      <c r="E37" s="23"/>
      <c r="F37" s="49">
        <f>B27+G27+C3-1000</f>
        <v>2316.1925214010853</v>
      </c>
      <c r="G37" s="50">
        <f t="shared" si="7"/>
        <v>92.647700856043414</v>
      </c>
      <c r="H37" s="51">
        <f t="shared" si="8"/>
        <v>11.580962607005427</v>
      </c>
      <c r="J37" s="49">
        <f>B27+G27+K27+C3-1000</f>
        <v>4539.1870696876895</v>
      </c>
      <c r="K37" s="50">
        <f t="shared" si="9"/>
        <v>181.56748278750757</v>
      </c>
      <c r="L37" s="51">
        <f t="shared" si="10"/>
        <v>22.695935348438447</v>
      </c>
      <c r="M37" s="80"/>
    </row>
    <row r="38" spans="1:13">
      <c r="B38" s="2"/>
      <c r="C38" s="2"/>
    </row>
    <row r="39" spans="1:13">
      <c r="B39" s="2"/>
      <c r="C39" s="2"/>
    </row>
    <row r="40" spans="1:13">
      <c r="B40" s="2"/>
      <c r="C40" s="2"/>
    </row>
    <row r="41" spans="1:13">
      <c r="B41" s="2"/>
    </row>
  </sheetData>
  <sheetProtection password="CFDB" sheet="1" objects="1" scenarios="1" selectLockedCells="1"/>
  <mergeCells count="31">
    <mergeCell ref="A15:D15"/>
    <mergeCell ref="F15:H15"/>
    <mergeCell ref="J15:L15"/>
    <mergeCell ref="A31:D31"/>
    <mergeCell ref="F31:H31"/>
    <mergeCell ref="J31:L31"/>
    <mergeCell ref="A7:A8"/>
    <mergeCell ref="C7:D7"/>
    <mergeCell ref="G7:H7"/>
    <mergeCell ref="K7:L7"/>
    <mergeCell ref="C8:D8"/>
    <mergeCell ref="G8:H8"/>
    <mergeCell ref="K8:L8"/>
    <mergeCell ref="C5:D5"/>
    <mergeCell ref="G5:H5"/>
    <mergeCell ref="K5:L5"/>
    <mergeCell ref="C6:D6"/>
    <mergeCell ref="G6:H6"/>
    <mergeCell ref="K6:L6"/>
    <mergeCell ref="C3:D3"/>
    <mergeCell ref="G3:H3"/>
    <mergeCell ref="K3:L3"/>
    <mergeCell ref="C4:D4"/>
    <mergeCell ref="G4:H4"/>
    <mergeCell ref="K4:L4"/>
    <mergeCell ref="A1:D1"/>
    <mergeCell ref="F1:H1"/>
    <mergeCell ref="J1:L1"/>
    <mergeCell ref="C2:D2"/>
    <mergeCell ref="G2:H2"/>
    <mergeCell ref="K2:L2"/>
  </mergeCells>
  <pageMargins left="0.2" right="0.19685039370078741" top="0.28999999999999998" bottom="0.36" header="0.17" footer="0.16"/>
  <pageSetup paperSize="9" scale="66" orientation="landscape" horizontalDpi="0" verticalDpi="0" r:id="rId1"/>
  <headerFooter>
    <oddFooter>&amp;L&amp;D&amp;C&amp;Z&amp;F</oddFooter>
  </headerFooter>
  <ignoredErrors>
    <ignoredError sqref="G21 K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Mietberechnung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cp:lastPrinted>2020-05-20T09:43:46Z</cp:lastPrinted>
  <dcterms:created xsi:type="dcterms:W3CDTF">2020-05-18T10:24:47Z</dcterms:created>
  <dcterms:modified xsi:type="dcterms:W3CDTF">2020-05-20T13:08:07Z</dcterms:modified>
</cp:coreProperties>
</file>